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strucciones" sheetId="1" state="visible" r:id="rId3"/>
    <sheet name="Supuestos" sheetId="2" state="visible" r:id="rId4"/>
    <sheet name="Margen_servicio" sheetId="3" state="visible" r:id="rId5"/>
    <sheet name="PyG_3anios" sheetId="4" state="visible" r:id="rId6"/>
    <sheet name="Inversion_apertura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<sst xmlns="http://schemas.openxmlformats.org/spreadsheetml/2006/main" count="117" uniqueCount="115">
  <si>
    <t xml:space="preserve">Modelo financiero — Gabinete de medicina estética (U.48), Sevilla</t>
  </si>
  <si>
    <t xml:space="preserve">Cómo usar este modelo:</t>
  </si>
  <si>
    <t xml:space="preserve">  • Cambia SOLO las celdas de texto AZUL. Son tus datos (ticket, alquiler, nº de tratamientos, inversión…).</t>
  </si>
  <si>
    <t xml:space="preserve">  • Las celdas en NEGRO son fórmulas: se recalculan solas. No las toques.</t>
  </si>
  <si>
    <t xml:space="preserve">  • Las celdas en VERDE traen datos de otra hoja.</t>
  </si>
  <si>
    <t xml:space="preserve">  • Las celdas con FONDO AMARILLO son las que más mueven el resultado: ticket, coste de producto, tratamientos/semana, alquiler.</t>
  </si>
  <si>
    <t xml:space="preserve">Hojas:</t>
  </si>
  <si>
    <t xml:space="preserve">  1. Supuestos — todas tus entradas en un sitio.</t>
  </si>
  <si>
    <t xml:space="preserve">  2. Margen por servicio — juega con precios y coste de cada tratamiento.</t>
  </si>
  <si>
    <t xml:space="preserve">  3. PyG 3 años — cuenta de resultados con rampa y punto de equilibrio.</t>
  </si>
  <si>
    <t xml:space="preserve">  4. Inversion apertura — cuánto necesitas para abrir.</t>
  </si>
  <si>
    <t xml:space="preserve">Trabaja siempre con INGRESOS NETOS DE IVA: la estética lleva 21% de IVA (no es exención), así que el precio de mercado</t>
  </si>
  <si>
    <t xml:space="preserve">no es ingreso; el ingreso es PVP ÷ 1,21. El modelo ya lo hace.</t>
  </si>
  <si>
    <t xml:space="preserve">Base: 05_Plan_Negocio/02_Modelo_Financiero.md. Supuestos de julio 2026. Sustituye los inputs por tus cifras reales.</t>
  </si>
  <si>
    <t xml:space="preserve">SUPUESTOS — cambia solo las celdas azules</t>
  </si>
  <si>
    <t xml:space="preserve">A. Ingresos y márgenes</t>
  </si>
  <si>
    <t xml:space="preserve">Ticket medio de mercado (IVA incl.)</t>
  </si>
  <si>
    <t xml:space="preserve">Mezcla de la cartera de día 1 (dossier 08)</t>
  </si>
  <si>
    <t xml:space="preserve">IVA aplicable</t>
  </si>
  <si>
    <t xml:space="preserve">Estética = 21% (no exenta)</t>
  </si>
  <si>
    <t xml:space="preserve">Ticket neto de IVA</t>
  </si>
  <si>
    <t xml:space="preserve">PVP ÷ (1+IVA)</t>
  </si>
  <si>
    <t xml:space="preserve">Coste de producto (% s/ neto)</t>
  </si>
  <si>
    <t xml:space="preserve">Validar con presupuestos de proveedor</t>
  </si>
  <si>
    <t xml:space="preserve">Coste de producto por acto</t>
  </si>
  <si>
    <t xml:space="preserve">Margen de contribución por acto</t>
  </si>
  <si>
    <t xml:space="preserve">Semanas efectivas / mes</t>
  </si>
  <si>
    <t xml:space="preserve">52/12</t>
  </si>
  <si>
    <t xml:space="preserve">B. Volumen (tratamientos por semana)</t>
  </si>
  <si>
    <t xml:space="preserve">Escenario conservador</t>
  </si>
  <si>
    <t xml:space="preserve">Alcanzable con 1 día de consulta</t>
  </si>
  <si>
    <t xml:space="preserve">Escenario base</t>
  </si>
  <si>
    <t xml:space="preserve">Dos días bien ocupados</t>
  </si>
  <si>
    <t xml:space="preserve">Escenario optimista</t>
  </si>
  <si>
    <t xml:space="preserve">Techo de agenda unipersonal con guardias</t>
  </si>
  <si>
    <t xml:space="preserve">Crecimiento año 3 sobre base</t>
  </si>
  <si>
    <t xml:space="preserve">C. Costes fijos (€/mes, año 1)</t>
  </si>
  <si>
    <t xml:space="preserve">Alquiler local (80 m², metro/secundaria)</t>
  </si>
  <si>
    <t xml:space="preserve">Seguro de RC profesional</t>
  </si>
  <si>
    <t xml:space="preserve">Colegiación</t>
  </si>
  <si>
    <t xml:space="preserve">Gestoría</t>
  </si>
  <si>
    <t xml:space="preserve">Software clínico/facturación</t>
  </si>
  <si>
    <t xml:space="preserve">Marketing (web, redes, contenido)</t>
  </si>
  <si>
    <t xml:space="preserve">Suministros (luz/agua/internet)</t>
  </si>
  <si>
    <t xml:space="preserve">Total fijos / mes</t>
  </si>
  <si>
    <t xml:space="preserve">Total fijos / año</t>
  </si>
  <si>
    <t xml:space="preserve">Crecimiento de fijos %/año</t>
  </si>
  <si>
    <t xml:space="preserve">IPC/actualización años 2-3</t>
  </si>
  <si>
    <t xml:space="preserve">D. RETA y amortización (€/año)</t>
  </si>
  <si>
    <t xml:space="preserve">RETA año 1</t>
  </si>
  <si>
    <t xml:space="preserve">Cuota Cero Andalucía = 0 € (dossier 04)</t>
  </si>
  <si>
    <t xml:space="preserve">RETA año 2</t>
  </si>
  <si>
    <t xml:space="preserve">Tramo real al salir de tarifa plana [input]</t>
  </si>
  <si>
    <t xml:space="preserve">RETA año 3</t>
  </si>
  <si>
    <t xml:space="preserve">[input: tramo real]</t>
  </si>
  <si>
    <t xml:space="preserve">Amortización anual (equipos + obra)</t>
  </si>
  <si>
    <t xml:space="preserve">Equipos 12-15%/año, obra ~10 años</t>
  </si>
  <si>
    <t xml:space="preserve">E. Inversión / CAPEX (€)</t>
  </si>
  <si>
    <t xml:space="preserve">Autoclave clase B (esterilización)</t>
  </si>
  <si>
    <t xml:space="preserve">Camilla clínica</t>
  </si>
  <si>
    <t xml:space="preserve">Mobiliario clínico</t>
  </si>
  <si>
    <t xml:space="preserve">Instrumental + PC + software gestión</t>
  </si>
  <si>
    <t xml:space="preserve">Stock inicial de producto</t>
  </si>
  <si>
    <t xml:space="preserve">Rótulo, señalética, decoración</t>
  </si>
  <si>
    <t xml:space="preserve">CAPEX lean (equipo)</t>
  </si>
  <si>
    <t xml:space="preserve">Láser (0 si va en fase 2)</t>
  </si>
  <si>
    <t xml:space="preserve">Gama media 10.300-19.500 €</t>
  </si>
  <si>
    <t xml:space="preserve">Obra de adecuación U.48</t>
  </si>
  <si>
    <t xml:space="preserve">10-15k semi-adaptado / 25-40k a estrenar</t>
  </si>
  <si>
    <t xml:space="preserve">Colchón de tesorería (meses de fijos)</t>
  </si>
  <si>
    <t xml:space="preserve">Margen por servicio — juega con precio y coste de cada tratamiento</t>
  </si>
  <si>
    <t xml:space="preserve">Servicio</t>
  </si>
  <si>
    <t xml:space="preserve">PVP (IVA incl.)</t>
  </si>
  <si>
    <t xml:space="preserve">Neto de IVA</t>
  </si>
  <si>
    <t xml:space="preserve">Coste producto</t>
  </si>
  <si>
    <t xml:space="preserve">Margen contribución</t>
  </si>
  <si>
    <t xml:space="preserve">Margen % s/ neto</t>
  </si>
  <si>
    <t xml:space="preserve">Toxina 2 zonas</t>
  </si>
  <si>
    <t xml:space="preserve">AH restauración</t>
  </si>
  <si>
    <t xml:space="preserve">Bioestimulador (vial)</t>
  </si>
  <si>
    <t xml:space="preserve">Polinucleótidos / skinbooster</t>
  </si>
  <si>
    <t xml:space="preserve">Exosomas</t>
  </si>
  <si>
    <t xml:space="preserve">Mesoterapia facial</t>
  </si>
  <si>
    <t xml:space="preserve">Peeling médico</t>
  </si>
  <si>
    <t xml:space="preserve">Hilos tensores (pack)</t>
  </si>
  <si>
    <t xml:space="preserve">Media ponderada real → llévala al ticket de Supuestos cuando tengas tu mix.</t>
  </si>
  <si>
    <t xml:space="preserve">Cuenta de resultados a 3 años (rampa: conservador → base → base+crecimiento)</t>
  </si>
  <si>
    <t xml:space="preserve">Año 1</t>
  </si>
  <si>
    <t xml:space="preserve">Año 2</t>
  </si>
  <si>
    <t xml:space="preserve">Año 3</t>
  </si>
  <si>
    <t xml:space="preserve">Tratamientos / semana</t>
  </si>
  <si>
    <t xml:space="preserve">Tratamientos / año</t>
  </si>
  <si>
    <t xml:space="preserve">Ingreso neto de IVA</t>
  </si>
  <si>
    <t xml:space="preserve">(−) Coste producto/fungible</t>
  </si>
  <si>
    <t xml:space="preserve">Margen de contribución</t>
  </si>
  <si>
    <t xml:space="preserve">(−) Fijos operativos</t>
  </si>
  <si>
    <t xml:space="preserve">(−) RETA</t>
  </si>
  <si>
    <t xml:space="preserve">(−) Amortización</t>
  </si>
  <si>
    <t xml:space="preserve">Resultado antes de IRPF</t>
  </si>
  <si>
    <t xml:space="preserve">IRPF: en pluriactividad el beneficio se apila sobre la nómina de urgencias y tributa a tu tipo marginal (37-45%).</t>
  </si>
  <si>
    <t xml:space="preserve">Punto de equilibrio</t>
  </si>
  <si>
    <t xml:space="preserve">Contribución por tratamiento (neto)</t>
  </si>
  <si>
    <t xml:space="preserve">Fijos + RETA + amortización a cubrir (año 1)</t>
  </si>
  <si>
    <t xml:space="preserve">Punto de equilibrio (tratamientos/año)</t>
  </si>
  <si>
    <t xml:space="preserve">Punto de equilibrio (tratamientos/mes)</t>
  </si>
  <si>
    <t xml:space="preserve">Punto de equilibrio (tratamientos/semana)</t>
  </si>
  <si>
    <t xml:space="preserve">Umbral bajo por la pluriactividad: cubres los fijos del negocio, no tu sueldo (lo paga la nómina).</t>
  </si>
  <si>
    <t xml:space="preserve">Sueldo propio objetivo (€/mes)</t>
  </si>
  <si>
    <t xml:space="preserve">Punto de equilibrio con ese sueldo (trat/mes)</t>
  </si>
  <si>
    <t xml:space="preserve">Desembolso inicial para abrir</t>
  </si>
  <si>
    <t xml:space="preserve">Láser (si se compra en apertura)</t>
  </si>
  <si>
    <t xml:space="preserve">Colchón de tesorería</t>
  </si>
  <si>
    <t xml:space="preserve">Fijos/mes × meses de colchón</t>
  </si>
  <si>
    <t xml:space="preserve">TOTAL para abrir</t>
  </si>
  <si>
    <t xml:space="preserve">Escenario lean con local semi-adaptado. Con local a estrenar (obra 40k) sube; con colchón ajustado, baja.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</si>
</sst>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;\(#,##0&quot;) €&quot;;\-"/>
    <numFmt numFmtId="166" formatCode="0.0%"/>
    <numFmt numFmtId="167" formatCode="#,##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D9E1E5"/>
        <bgColor rgb="FFCC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4E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1" customFormat="false" ht="21.75" hidden="false" customHeight="true" outlineLevel="0" collapsed="false">
      <c r="A1" s="1" t="s">
        <v>0</v>
      </c>
      <c r="B1" s="1"/>
    </row>
    <row r="2" customFormat="false" ht="15" hidden="false" customHeight="false" outlineLevel="0" collapsed="false">
      <c r="B2" s="2"/>
    </row>
    <row r="3" customFormat="false" ht="15" hidden="false" customHeight="false" outlineLevel="0" collapsed="false">
      <c r="B3" s="3" t="s">
        <v>1</v>
      </c>
    </row>
    <row r="4" customFormat="false" ht="15" hidden="false" customHeight="false" outlineLevel="0" collapsed="false">
      <c r="B4" s="2" t="s">
        <v>2</v>
      </c>
    </row>
    <row r="5" customFormat="false" ht="15" hidden="false" customHeight="false" outlineLevel="0" collapsed="false">
      <c r="B5" s="2" t="s">
        <v>3</v>
      </c>
    </row>
    <row r="6" customFormat="false" ht="15" hidden="false" customHeight="false" outlineLevel="0" collapsed="false">
      <c r="B6" s="2" t="s">
        <v>4</v>
      </c>
    </row>
    <row r="7" customFormat="false" ht="15" hidden="false" customHeight="false" outlineLevel="0" collapsed="false">
      <c r="B7" s="2" t="s">
        <v>5</v>
      </c>
    </row>
    <row r="8" customFormat="false" ht="15" hidden="false" customHeight="false" outlineLevel="0" collapsed="false">
      <c r="B8" s="2"/>
    </row>
    <row r="9" customFormat="false" ht="15" hidden="false" customHeight="false" outlineLevel="0" collapsed="false">
      <c r="B9" s="3" t="s">
        <v>6</v>
      </c>
    </row>
    <row r="10" customFormat="false" ht="15" hidden="false" customHeight="false" outlineLevel="0" collapsed="false">
      <c r="B10" s="2" t="s">
        <v>7</v>
      </c>
    </row>
    <row r="11" customFormat="false" ht="15" hidden="false" customHeight="false" outlineLevel="0" collapsed="false">
      <c r="B11" s="2" t="s">
        <v>8</v>
      </c>
    </row>
    <row r="12" customFormat="false" ht="15" hidden="false" customHeight="false" outlineLevel="0" collapsed="false">
      <c r="B12" s="2" t="s">
        <v>9</v>
      </c>
    </row>
    <row r="13" customFormat="false" ht="15" hidden="false" customHeight="false" outlineLevel="0" collapsed="false">
      <c r="B13" s="2" t="s">
        <v>10</v>
      </c>
    </row>
    <row r="14" customFormat="false" ht="15" hidden="false" customHeight="false" outlineLevel="0" collapsed="false">
      <c r="B14" s="2"/>
    </row>
    <row r="15" customFormat="false" ht="15" hidden="false" customHeight="false" outlineLevel="0" collapsed="false">
      <c r="B15" s="2" t="s">
        <v>11</v>
      </c>
    </row>
    <row r="16" customFormat="false" ht="15" hidden="false" customHeight="false" outlineLevel="0" collapsed="false">
      <c r="B16" s="2" t="s">
        <v>12</v>
      </c>
    </row>
    <row r="17" customFormat="false" ht="15" hidden="false" customHeight="false" outlineLevel="0" collapsed="false">
      <c r="B17" s="2"/>
    </row>
    <row r="18" customFormat="false" ht="15" hidden="false" customHeight="false" outlineLevel="0" collapsed="false">
      <c r="B18" s="2" t="s">
        <v>13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44"/>
  </cols>
  <sheetData>
    <row r="1" customFormat="false" ht="21.75" hidden="false" customHeight="true" outlineLevel="0" collapsed="false">
      <c r="A1" s="1" t="s">
        <v>14</v>
      </c>
      <c r="B1" s="1"/>
      <c r="C1" s="1"/>
      <c r="D1" s="1"/>
    </row>
    <row r="3" customFormat="false" ht="15" hidden="false" customHeight="false" outlineLevel="0" collapsed="false">
      <c r="A3" s="4" t="s">
        <v>15</v>
      </c>
      <c r="B3" s="4"/>
      <c r="C3" s="4"/>
      <c r="D3" s="4"/>
    </row>
    <row r="4" customFormat="false" ht="15" hidden="false" customHeight="false" outlineLevel="0" collapsed="false">
      <c r="A4" s="2" t="s">
        <v>16</v>
      </c>
      <c r="B4" s="5" t="n">
        <v>280</v>
      </c>
      <c r="C4" s="6" t="s">
        <v>17</v>
      </c>
    </row>
    <row r="5" customFormat="false" ht="15" hidden="false" customHeight="false" outlineLevel="0" collapsed="false">
      <c r="A5" s="2" t="s">
        <v>18</v>
      </c>
      <c r="B5" s="7" t="n">
        <v>0.21</v>
      </c>
      <c r="C5" s="6" t="s">
        <v>19</v>
      </c>
    </row>
    <row r="6" customFormat="false" ht="15" hidden="false" customHeight="false" outlineLevel="0" collapsed="false">
      <c r="A6" s="2" t="s">
        <v>20</v>
      </c>
      <c r="B6" s="8" t="n">
        <f aca="false">B4/(1+B5)</f>
        <v>231.404958677686</v>
      </c>
      <c r="C6" s="6" t="s">
        <v>21</v>
      </c>
    </row>
    <row r="7" customFormat="false" ht="15" hidden="false" customHeight="false" outlineLevel="0" collapsed="false">
      <c r="A7" s="2" t="s">
        <v>22</v>
      </c>
      <c r="B7" s="9" t="n">
        <v>0.3</v>
      </c>
      <c r="C7" s="6" t="s">
        <v>23</v>
      </c>
    </row>
    <row r="8" customFormat="false" ht="15" hidden="false" customHeight="false" outlineLevel="0" collapsed="false">
      <c r="A8" s="2" t="s">
        <v>24</v>
      </c>
      <c r="B8" s="8" t="n">
        <f aca="false">B6*B7</f>
        <v>69.4214876033058</v>
      </c>
    </row>
    <row r="9" customFormat="false" ht="15" hidden="false" customHeight="false" outlineLevel="0" collapsed="false">
      <c r="A9" s="2" t="s">
        <v>25</v>
      </c>
      <c r="B9" s="10" t="n">
        <f aca="false">B6-B8</f>
        <v>161.98347107438</v>
      </c>
    </row>
    <row r="10" customFormat="false" ht="15" hidden="false" customHeight="false" outlineLevel="0" collapsed="false">
      <c r="A10" s="2" t="s">
        <v>26</v>
      </c>
      <c r="B10" s="11" t="n">
        <v>4.33</v>
      </c>
      <c r="C10" s="6" t="s">
        <v>27</v>
      </c>
    </row>
    <row r="12" customFormat="false" ht="15" hidden="false" customHeight="false" outlineLevel="0" collapsed="false">
      <c r="A12" s="4" t="s">
        <v>28</v>
      </c>
      <c r="B12" s="4"/>
      <c r="C12" s="4"/>
      <c r="D12" s="4"/>
    </row>
    <row r="13" customFormat="false" ht="15" hidden="false" customHeight="false" outlineLevel="0" collapsed="false">
      <c r="A13" s="2" t="s">
        <v>29</v>
      </c>
      <c r="B13" s="12" t="n">
        <v>6</v>
      </c>
      <c r="C13" s="6" t="s">
        <v>30</v>
      </c>
    </row>
    <row r="14" customFormat="false" ht="15" hidden="false" customHeight="false" outlineLevel="0" collapsed="false">
      <c r="A14" s="2" t="s">
        <v>31</v>
      </c>
      <c r="B14" s="12" t="n">
        <v>12</v>
      </c>
      <c r="C14" s="6" t="s">
        <v>32</v>
      </c>
    </row>
    <row r="15" customFormat="false" ht="15" hidden="false" customHeight="false" outlineLevel="0" collapsed="false">
      <c r="A15" s="2" t="s">
        <v>33</v>
      </c>
      <c r="B15" s="11" t="n">
        <v>20</v>
      </c>
      <c r="C15" s="6" t="s">
        <v>34</v>
      </c>
    </row>
    <row r="16" customFormat="false" ht="15" hidden="false" customHeight="false" outlineLevel="0" collapsed="false">
      <c r="A16" s="2" t="s">
        <v>35</v>
      </c>
      <c r="B16" s="7" t="n">
        <v>0.3</v>
      </c>
    </row>
    <row r="18" customFormat="false" ht="15" hidden="false" customHeight="false" outlineLevel="0" collapsed="false">
      <c r="A18" s="4" t="s">
        <v>36</v>
      </c>
      <c r="B18" s="4"/>
      <c r="C18" s="4"/>
      <c r="D18" s="4"/>
    </row>
    <row r="19" customFormat="false" ht="15" hidden="false" customHeight="false" outlineLevel="0" collapsed="false">
      <c r="A19" s="2" t="s">
        <v>37</v>
      </c>
      <c r="B19" s="5" t="n">
        <v>900</v>
      </c>
    </row>
    <row r="20" customFormat="false" ht="15" hidden="false" customHeight="false" outlineLevel="0" collapsed="false">
      <c r="A20" s="2" t="s">
        <v>38</v>
      </c>
      <c r="B20" s="13" t="n">
        <v>80</v>
      </c>
    </row>
    <row r="21" customFormat="false" ht="15" hidden="false" customHeight="false" outlineLevel="0" collapsed="false">
      <c r="A21" s="2" t="s">
        <v>39</v>
      </c>
      <c r="B21" s="13" t="n">
        <v>30</v>
      </c>
    </row>
    <row r="22" customFormat="false" ht="15" hidden="false" customHeight="false" outlineLevel="0" collapsed="false">
      <c r="A22" s="2" t="s">
        <v>40</v>
      </c>
      <c r="B22" s="13" t="n">
        <v>75</v>
      </c>
    </row>
    <row r="23" customFormat="false" ht="15" hidden="false" customHeight="false" outlineLevel="0" collapsed="false">
      <c r="A23" s="2" t="s">
        <v>41</v>
      </c>
      <c r="B23" s="13" t="n">
        <v>30</v>
      </c>
    </row>
    <row r="24" customFormat="false" ht="15" hidden="false" customHeight="false" outlineLevel="0" collapsed="false">
      <c r="A24" s="2" t="s">
        <v>42</v>
      </c>
      <c r="B24" s="13" t="n">
        <v>300</v>
      </c>
    </row>
    <row r="25" customFormat="false" ht="15" hidden="false" customHeight="false" outlineLevel="0" collapsed="false">
      <c r="A25" s="2" t="s">
        <v>43</v>
      </c>
      <c r="B25" s="13" t="n">
        <v>150</v>
      </c>
    </row>
    <row r="26" customFormat="false" ht="15" hidden="false" customHeight="false" outlineLevel="0" collapsed="false">
      <c r="A26" s="2" t="s">
        <v>44</v>
      </c>
      <c r="B26" s="10" t="n">
        <f aca="false">SUM(B19:B25)</f>
        <v>1565</v>
      </c>
    </row>
    <row r="27" customFormat="false" ht="15" hidden="false" customHeight="false" outlineLevel="0" collapsed="false">
      <c r="A27" s="2" t="s">
        <v>45</v>
      </c>
      <c r="B27" s="10" t="n">
        <f aca="false">B26*12</f>
        <v>18780</v>
      </c>
    </row>
    <row r="28" customFormat="false" ht="15" hidden="false" customHeight="false" outlineLevel="0" collapsed="false">
      <c r="A28" s="2" t="s">
        <v>46</v>
      </c>
      <c r="B28" s="7" t="n">
        <v>0.03</v>
      </c>
      <c r="C28" s="6" t="s">
        <v>47</v>
      </c>
    </row>
    <row r="30" customFormat="false" ht="15" hidden="false" customHeight="false" outlineLevel="0" collapsed="false">
      <c r="A30" s="4" t="s">
        <v>48</v>
      </c>
      <c r="B30" s="4"/>
      <c r="C30" s="4"/>
      <c r="D30" s="4"/>
    </row>
    <row r="31" customFormat="false" ht="15" hidden="false" customHeight="false" outlineLevel="0" collapsed="false">
      <c r="A31" s="2" t="s">
        <v>49</v>
      </c>
      <c r="B31" s="13" t="n">
        <v>0</v>
      </c>
      <c r="C31" s="6" t="s">
        <v>50</v>
      </c>
    </row>
    <row r="32" customFormat="false" ht="15" hidden="false" customHeight="false" outlineLevel="0" collapsed="false">
      <c r="A32" s="2" t="s">
        <v>51</v>
      </c>
      <c r="B32" s="13" t="n">
        <v>3500</v>
      </c>
      <c r="C32" s="6" t="s">
        <v>52</v>
      </c>
    </row>
    <row r="33" customFormat="false" ht="15" hidden="false" customHeight="false" outlineLevel="0" collapsed="false">
      <c r="A33" s="2" t="s">
        <v>53</v>
      </c>
      <c r="B33" s="13" t="n">
        <v>5300</v>
      </c>
      <c r="C33" s="6" t="s">
        <v>54</v>
      </c>
    </row>
    <row r="34" customFormat="false" ht="15" hidden="false" customHeight="false" outlineLevel="0" collapsed="false">
      <c r="A34" s="2" t="s">
        <v>55</v>
      </c>
      <c r="B34" s="13" t="n">
        <v>4500</v>
      </c>
      <c r="C34" s="6" t="s">
        <v>56</v>
      </c>
    </row>
    <row r="36" customFormat="false" ht="15" hidden="false" customHeight="false" outlineLevel="0" collapsed="false">
      <c r="A36" s="4" t="s">
        <v>57</v>
      </c>
      <c r="B36" s="4"/>
      <c r="C36" s="4"/>
      <c r="D36" s="4"/>
    </row>
    <row r="37" customFormat="false" ht="15" hidden="false" customHeight="false" outlineLevel="0" collapsed="false">
      <c r="A37" s="2" t="s">
        <v>58</v>
      </c>
      <c r="B37" s="13" t="n">
        <v>2700</v>
      </c>
    </row>
    <row r="38" customFormat="false" ht="15" hidden="false" customHeight="false" outlineLevel="0" collapsed="false">
      <c r="A38" s="2" t="s">
        <v>59</v>
      </c>
      <c r="B38" s="13" t="n">
        <v>1000</v>
      </c>
    </row>
    <row r="39" customFormat="false" ht="15" hidden="false" customHeight="false" outlineLevel="0" collapsed="false">
      <c r="A39" s="2" t="s">
        <v>60</v>
      </c>
      <c r="B39" s="13" t="n">
        <v>4000</v>
      </c>
    </row>
    <row r="40" customFormat="false" ht="15" hidden="false" customHeight="false" outlineLevel="0" collapsed="false">
      <c r="A40" s="2" t="s">
        <v>61</v>
      </c>
      <c r="B40" s="13" t="n">
        <v>5000</v>
      </c>
    </row>
    <row r="41" customFormat="false" ht="15" hidden="false" customHeight="false" outlineLevel="0" collapsed="false">
      <c r="A41" s="2" t="s">
        <v>62</v>
      </c>
      <c r="B41" s="13" t="n">
        <v>4000</v>
      </c>
    </row>
    <row r="42" customFormat="false" ht="15" hidden="false" customHeight="false" outlineLevel="0" collapsed="false">
      <c r="A42" s="2" t="s">
        <v>63</v>
      </c>
      <c r="B42" s="13" t="n">
        <v>3000</v>
      </c>
    </row>
    <row r="43" customFormat="false" ht="15" hidden="false" customHeight="false" outlineLevel="0" collapsed="false">
      <c r="A43" s="2" t="s">
        <v>64</v>
      </c>
      <c r="B43" s="10" t="n">
        <f aca="false">SUM(B37:B42)</f>
        <v>19700</v>
      </c>
    </row>
    <row r="44" customFormat="false" ht="15" hidden="false" customHeight="false" outlineLevel="0" collapsed="false">
      <c r="A44" s="2" t="s">
        <v>65</v>
      </c>
      <c r="B44" s="5" t="n">
        <v>0</v>
      </c>
      <c r="C44" s="6" t="s">
        <v>66</v>
      </c>
    </row>
    <row r="45" customFormat="false" ht="15" hidden="false" customHeight="false" outlineLevel="0" collapsed="false">
      <c r="A45" s="2" t="s">
        <v>67</v>
      </c>
      <c r="B45" s="5" t="n">
        <v>15000</v>
      </c>
      <c r="C45" s="6" t="s">
        <v>68</v>
      </c>
    </row>
    <row r="46" customFormat="false" ht="15" hidden="false" customHeight="false" outlineLevel="0" collapsed="false">
      <c r="A46" s="2" t="s">
        <v>69</v>
      </c>
      <c r="B46" s="11" t="n">
        <v>6</v>
      </c>
    </row>
  </sheetData>
  <mergeCells count="6">
    <mergeCell ref="A1:D1"/>
    <mergeCell ref="A3:D3"/>
    <mergeCell ref="A12:D12"/>
    <mergeCell ref="A18:D18"/>
    <mergeCell ref="A30:D30"/>
    <mergeCell ref="A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20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" t="s">
        <v>70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14" t="s">
        <v>71</v>
      </c>
      <c r="B3" s="14" t="s">
        <v>72</v>
      </c>
      <c r="C3" s="14" t="s">
        <v>73</v>
      </c>
      <c r="D3" s="14" t="s">
        <v>74</v>
      </c>
      <c r="E3" s="14" t="s">
        <v>75</v>
      </c>
      <c r="F3" s="14" t="s">
        <v>76</v>
      </c>
    </row>
    <row r="4" customFormat="false" ht="15" hidden="false" customHeight="false" outlineLevel="0" collapsed="false">
      <c r="A4" s="2" t="s">
        <v>77</v>
      </c>
      <c r="B4" s="13" t="n">
        <v>250</v>
      </c>
      <c r="C4" s="15" t="n">
        <f aca="false">B4/(1+Supuestos!$B$5)</f>
        <v>206.611570247934</v>
      </c>
      <c r="D4" s="13" t="n">
        <v>55</v>
      </c>
      <c r="E4" s="8" t="n">
        <f aca="false">C4-D4</f>
        <v>151.611570247934</v>
      </c>
      <c r="F4" s="16" t="n">
        <f aca="false">E4/C4</f>
        <v>0.7338</v>
      </c>
    </row>
    <row r="5" customFormat="false" ht="15" hidden="false" customHeight="false" outlineLevel="0" collapsed="false">
      <c r="A5" s="2" t="s">
        <v>78</v>
      </c>
      <c r="B5" s="13" t="n">
        <v>400</v>
      </c>
      <c r="C5" s="15" t="n">
        <f aca="false">B5/(1+Supuestos!$B$5)</f>
        <v>330.578512396694</v>
      </c>
      <c r="D5" s="13" t="n">
        <v>100</v>
      </c>
      <c r="E5" s="8" t="n">
        <f aca="false">C5-D5</f>
        <v>230.578512396694</v>
      </c>
      <c r="F5" s="16" t="n">
        <f aca="false">E5/C5</f>
        <v>0.6975</v>
      </c>
    </row>
    <row r="6" customFormat="false" ht="15" hidden="false" customHeight="false" outlineLevel="0" collapsed="false">
      <c r="A6" s="2" t="s">
        <v>79</v>
      </c>
      <c r="B6" s="13" t="n">
        <v>375</v>
      </c>
      <c r="C6" s="15" t="n">
        <f aca="false">B6/(1+Supuestos!$B$5)</f>
        <v>309.917355371901</v>
      </c>
      <c r="D6" s="13" t="n">
        <v>120</v>
      </c>
      <c r="E6" s="8" t="n">
        <f aca="false">C6-D6</f>
        <v>189.917355371901</v>
      </c>
      <c r="F6" s="16" t="n">
        <f aca="false">E6/C6</f>
        <v>0.6128</v>
      </c>
    </row>
    <row r="7" customFormat="false" ht="15" hidden="false" customHeight="false" outlineLevel="0" collapsed="false">
      <c r="A7" s="2" t="s">
        <v>80</v>
      </c>
      <c r="B7" s="13" t="n">
        <v>250</v>
      </c>
      <c r="C7" s="15" t="n">
        <f aca="false">B7/(1+Supuestos!$B$5)</f>
        <v>206.611570247934</v>
      </c>
      <c r="D7" s="13" t="n">
        <v>65</v>
      </c>
      <c r="E7" s="8" t="n">
        <f aca="false">C7-D7</f>
        <v>141.611570247934</v>
      </c>
      <c r="F7" s="16" t="n">
        <f aca="false">E7/C7</f>
        <v>0.6854</v>
      </c>
    </row>
    <row r="8" customFormat="false" ht="15" hidden="false" customHeight="false" outlineLevel="0" collapsed="false">
      <c r="A8" s="2" t="s">
        <v>81</v>
      </c>
      <c r="B8" s="13" t="n">
        <v>350</v>
      </c>
      <c r="C8" s="15" t="n">
        <f aca="false">B8/(1+Supuestos!$B$5)</f>
        <v>289.256198347107</v>
      </c>
      <c r="D8" s="13" t="n">
        <v>120</v>
      </c>
      <c r="E8" s="8" t="n">
        <f aca="false">C8-D8</f>
        <v>169.256198347107</v>
      </c>
      <c r="F8" s="16" t="n">
        <f aca="false">E8/C8</f>
        <v>0.585142857142857</v>
      </c>
    </row>
    <row r="9" customFormat="false" ht="15" hidden="false" customHeight="false" outlineLevel="0" collapsed="false">
      <c r="A9" s="2" t="s">
        <v>82</v>
      </c>
      <c r="B9" s="13" t="n">
        <v>150</v>
      </c>
      <c r="C9" s="15" t="n">
        <f aca="false">B9/(1+Supuestos!$B$5)</f>
        <v>123.96694214876</v>
      </c>
      <c r="D9" s="13" t="n">
        <v>30</v>
      </c>
      <c r="E9" s="8" t="n">
        <f aca="false">C9-D9</f>
        <v>93.9669421487603</v>
      </c>
      <c r="F9" s="16" t="n">
        <f aca="false">E9/C9</f>
        <v>0.758</v>
      </c>
    </row>
    <row r="10" customFormat="false" ht="15" hidden="false" customHeight="false" outlineLevel="0" collapsed="false">
      <c r="A10" s="2" t="s">
        <v>83</v>
      </c>
      <c r="B10" s="13" t="n">
        <v>100</v>
      </c>
      <c r="C10" s="15" t="n">
        <f aca="false">B10/(1+Supuestos!$B$5)</f>
        <v>82.6446280991736</v>
      </c>
      <c r="D10" s="13" t="n">
        <v>20</v>
      </c>
      <c r="E10" s="8" t="n">
        <f aca="false">C10-D10</f>
        <v>62.6446280991736</v>
      </c>
      <c r="F10" s="16" t="n">
        <f aca="false">E10/C10</f>
        <v>0.758</v>
      </c>
    </row>
    <row r="11" customFormat="false" ht="15" hidden="false" customHeight="false" outlineLevel="0" collapsed="false">
      <c r="A11" s="2" t="s">
        <v>84</v>
      </c>
      <c r="B11" s="13" t="n">
        <v>475</v>
      </c>
      <c r="C11" s="15" t="n">
        <f aca="false">B11/(1+Supuestos!$B$5)</f>
        <v>392.561983471074</v>
      </c>
      <c r="D11" s="13" t="n">
        <v>150</v>
      </c>
      <c r="E11" s="8" t="n">
        <f aca="false">C11-D11</f>
        <v>242.561983471074</v>
      </c>
      <c r="F11" s="16" t="n">
        <f aca="false">E11/C11</f>
        <v>0.617894736842105</v>
      </c>
    </row>
    <row r="13" customFormat="false" ht="15" hidden="false" customHeight="false" outlineLevel="0" collapsed="false">
      <c r="A13" s="17" t="s">
        <v>85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16"/>
  </cols>
  <sheetData>
    <row r="1" customFormat="false" ht="21.75" hidden="false" customHeight="true" outlineLevel="0" collapsed="false">
      <c r="A1" s="1" t="s">
        <v>86</v>
      </c>
      <c r="B1" s="1"/>
      <c r="C1" s="1"/>
      <c r="D1" s="1"/>
    </row>
    <row r="3" customFormat="false" ht="15" hidden="false" customHeight="false" outlineLevel="0" collapsed="false">
      <c r="A3" s="18"/>
      <c r="B3" s="14" t="s">
        <v>87</v>
      </c>
      <c r="C3" s="14" t="s">
        <v>88</v>
      </c>
      <c r="D3" s="14" t="s">
        <v>89</v>
      </c>
    </row>
    <row r="4" customFormat="false" ht="15" hidden="false" customHeight="false" outlineLevel="0" collapsed="false">
      <c r="A4" s="2" t="s">
        <v>90</v>
      </c>
      <c r="B4" s="19" t="n">
        <f aca="false">Supuestos!B13</f>
        <v>6</v>
      </c>
      <c r="C4" s="19" t="n">
        <f aca="false">Supuestos!B14</f>
        <v>12</v>
      </c>
      <c r="D4" s="19" t="n">
        <f aca="false">Supuestos!B14*(1+Supuestos!B16)</f>
        <v>15.6</v>
      </c>
    </row>
    <row r="5" customFormat="false" ht="15" hidden="false" customHeight="false" outlineLevel="0" collapsed="false">
      <c r="A5" s="2" t="s">
        <v>91</v>
      </c>
      <c r="B5" s="20" t="n">
        <f aca="false">B4*Supuestos!$B$10*12</f>
        <v>311.76</v>
      </c>
      <c r="C5" s="20" t="n">
        <f aca="false">C4*Supuestos!$B$10*12</f>
        <v>623.52</v>
      </c>
      <c r="D5" s="20" t="n">
        <f aca="false">D4*Supuestos!$B$10*12</f>
        <v>810.576</v>
      </c>
    </row>
    <row r="6" customFormat="false" ht="15" hidden="false" customHeight="false" outlineLevel="0" collapsed="false">
      <c r="A6" s="2" t="s">
        <v>92</v>
      </c>
      <c r="B6" s="10" t="n">
        <f aca="false">B5*Supuestos!$B$6</f>
        <v>72142.8099173554</v>
      </c>
      <c r="C6" s="10" t="n">
        <f aca="false">C5*Supuestos!$B$6</f>
        <v>144285.619834711</v>
      </c>
      <c r="D6" s="10" t="n">
        <f aca="false">D5*Supuestos!$B$6</f>
        <v>187571.305785124</v>
      </c>
    </row>
    <row r="7" customFormat="false" ht="15" hidden="false" customHeight="false" outlineLevel="0" collapsed="false">
      <c r="A7" s="2" t="s">
        <v>93</v>
      </c>
      <c r="B7" s="8" t="n">
        <f aca="false">-B6*Supuestos!$B$7</f>
        <v>-21642.8429752066</v>
      </c>
      <c r="C7" s="8" t="n">
        <f aca="false">-C6*Supuestos!$B$7</f>
        <v>-43285.6859504132</v>
      </c>
      <c r="D7" s="8" t="n">
        <f aca="false">-D6*Supuestos!$B$7</f>
        <v>-56271.3917355372</v>
      </c>
    </row>
    <row r="8" customFormat="false" ht="15" hidden="false" customHeight="false" outlineLevel="0" collapsed="false">
      <c r="A8" s="2" t="s">
        <v>94</v>
      </c>
      <c r="B8" s="10" t="n">
        <f aca="false">B6+B7</f>
        <v>50499.9669421488</v>
      </c>
      <c r="C8" s="10" t="n">
        <f aca="false">C6+C7</f>
        <v>100999.933884298</v>
      </c>
      <c r="D8" s="10" t="n">
        <f aca="false">D6+D7</f>
        <v>131299.914049587</v>
      </c>
    </row>
    <row r="9" customFormat="false" ht="15" hidden="false" customHeight="false" outlineLevel="0" collapsed="false">
      <c r="A9" s="2" t="s">
        <v>95</v>
      </c>
      <c r="B9" s="8" t="n">
        <f aca="false">-Supuestos!$B$27</f>
        <v>-18780</v>
      </c>
      <c r="C9" s="8" t="n">
        <f aca="false">B9*(1+Supuestos!$B$28)</f>
        <v>-19343.4</v>
      </c>
      <c r="D9" s="8" t="n">
        <f aca="false">C9*(1+Supuestos!$B$28)</f>
        <v>-19923.702</v>
      </c>
    </row>
    <row r="10" customFormat="false" ht="15" hidden="false" customHeight="false" outlineLevel="0" collapsed="false">
      <c r="A10" s="2" t="s">
        <v>96</v>
      </c>
      <c r="B10" s="8" t="n">
        <f aca="false">-Supuestos!B31</f>
        <v>-0</v>
      </c>
      <c r="C10" s="8" t="n">
        <f aca="false">-Supuestos!B32</f>
        <v>-3500</v>
      </c>
      <c r="D10" s="8" t="n">
        <f aca="false">-Supuestos!B33</f>
        <v>-5300</v>
      </c>
    </row>
    <row r="11" customFormat="false" ht="15" hidden="false" customHeight="false" outlineLevel="0" collapsed="false">
      <c r="A11" s="2" t="s">
        <v>97</v>
      </c>
      <c r="B11" s="8" t="n">
        <f aca="false">-Supuestos!$B$34</f>
        <v>-4500</v>
      </c>
      <c r="C11" s="8" t="n">
        <f aca="false">-Supuestos!$B$34</f>
        <v>-4500</v>
      </c>
      <c r="D11" s="8" t="n">
        <f aca="false">-Supuestos!$B$34</f>
        <v>-4500</v>
      </c>
    </row>
    <row r="12" customFormat="false" ht="15" hidden="false" customHeight="false" outlineLevel="0" collapsed="false">
      <c r="A12" s="21" t="s">
        <v>98</v>
      </c>
      <c r="B12" s="22" t="n">
        <f aca="false">B8+B9+B10+B11</f>
        <v>27219.9669421488</v>
      </c>
      <c r="C12" s="22" t="n">
        <f aca="false">C8+C9+C10+C11</f>
        <v>73656.5338842975</v>
      </c>
      <c r="D12" s="22" t="n">
        <f aca="false">D8+D9+D10+D11</f>
        <v>101576.212049587</v>
      </c>
    </row>
    <row r="13" customFormat="false" ht="15" hidden="false" customHeight="false" outlineLevel="0" collapsed="false">
      <c r="A13" s="23" t="s">
        <v>99</v>
      </c>
      <c r="B13" s="23"/>
      <c r="C13" s="23"/>
      <c r="D13" s="23"/>
    </row>
    <row r="15" customFormat="false" ht="15" hidden="false" customHeight="false" outlineLevel="0" collapsed="false">
      <c r="A15" s="4" t="s">
        <v>100</v>
      </c>
      <c r="B15" s="4"/>
      <c r="C15" s="4"/>
      <c r="D15" s="4"/>
    </row>
    <row r="16" customFormat="false" ht="15" hidden="false" customHeight="false" outlineLevel="0" collapsed="false">
      <c r="A16" s="2" t="s">
        <v>101</v>
      </c>
      <c r="B16" s="15" t="n">
        <f aca="false">Supuestos!$B$9</f>
        <v>161.98347107438</v>
      </c>
    </row>
    <row r="17" customFormat="false" ht="15" hidden="false" customHeight="false" outlineLevel="0" collapsed="false">
      <c r="A17" s="2" t="s">
        <v>102</v>
      </c>
      <c r="B17" s="8" t="n">
        <f aca="false">-(B9+B10+B11)</f>
        <v>23280</v>
      </c>
    </row>
    <row r="18" customFormat="false" ht="15" hidden="false" customHeight="false" outlineLevel="0" collapsed="false">
      <c r="A18" s="2" t="s">
        <v>103</v>
      </c>
      <c r="B18" s="24" t="n">
        <f aca="false">B17/B16</f>
        <v>143.718367346939</v>
      </c>
    </row>
    <row r="19" customFormat="false" ht="15" hidden="false" customHeight="false" outlineLevel="0" collapsed="false">
      <c r="A19" s="2" t="s">
        <v>104</v>
      </c>
      <c r="B19" s="24" t="n">
        <f aca="false">B18/12</f>
        <v>11.9765306122449</v>
      </c>
    </row>
    <row r="20" customFormat="false" ht="15" hidden="false" customHeight="false" outlineLevel="0" collapsed="false">
      <c r="A20" s="2" t="s">
        <v>105</v>
      </c>
      <c r="B20" s="20" t="n">
        <f aca="false">B19/Supuestos!$B$10</f>
        <v>2.7659424046755</v>
      </c>
    </row>
    <row r="21" customFormat="false" ht="15" hidden="false" customHeight="false" outlineLevel="0" collapsed="false">
      <c r="A21" s="23" t="s">
        <v>106</v>
      </c>
      <c r="B21" s="23"/>
      <c r="C21" s="23"/>
      <c r="D21" s="23"/>
    </row>
    <row r="22" customFormat="false" ht="15" hidden="false" customHeight="false" outlineLevel="0" collapsed="false">
      <c r="A22" s="2" t="s">
        <v>107</v>
      </c>
      <c r="B22" s="13" t="n">
        <v>0</v>
      </c>
    </row>
    <row r="23" customFormat="false" ht="15" hidden="false" customHeight="false" outlineLevel="0" collapsed="false">
      <c r="A23" s="2" t="s">
        <v>108</v>
      </c>
      <c r="B23" s="20" t="n">
        <f aca="false">(B17+B22*12)/B16/12</f>
        <v>11.9765306122449</v>
      </c>
    </row>
  </sheetData>
  <mergeCells count="4">
    <mergeCell ref="A1:D1"/>
    <mergeCell ref="A13:D13"/>
    <mergeCell ref="A15:D15"/>
    <mergeCell ref="A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  <col collapsed="false" customWidth="true" hidden="false" outlineLevel="0" max="3" min="3" style="0" width="44"/>
  </cols>
  <sheetData>
    <row r="1" customFormat="false" ht="21.75" hidden="false" customHeight="true" outlineLevel="0" collapsed="false">
      <c r="A1" s="1" t="s">
        <v>109</v>
      </c>
      <c r="B1" s="1"/>
      <c r="C1" s="1"/>
    </row>
    <row r="3" customFormat="false" ht="15" hidden="false" customHeight="false" outlineLevel="0" collapsed="false">
      <c r="A3" s="2" t="s">
        <v>64</v>
      </c>
      <c r="B3" s="15" t="n">
        <f aca="false">Supuestos!B43</f>
        <v>19700</v>
      </c>
    </row>
    <row r="4" customFormat="false" ht="15" hidden="false" customHeight="false" outlineLevel="0" collapsed="false">
      <c r="A4" s="2" t="s">
        <v>110</v>
      </c>
      <c r="B4" s="15" t="n">
        <f aca="false">Supuestos!B44</f>
        <v>0</v>
      </c>
    </row>
    <row r="5" customFormat="false" ht="15" hidden="false" customHeight="false" outlineLevel="0" collapsed="false">
      <c r="A5" s="2" t="s">
        <v>67</v>
      </c>
      <c r="B5" s="15" t="n">
        <f aca="false">Supuestos!B45</f>
        <v>15000</v>
      </c>
    </row>
    <row r="6" customFormat="false" ht="15" hidden="false" customHeight="false" outlineLevel="0" collapsed="false">
      <c r="A6" s="2" t="s">
        <v>111</v>
      </c>
      <c r="B6" s="15" t="n">
        <f aca="false">Supuestos!B26*Supuestos!B46</f>
        <v>9390</v>
      </c>
      <c r="C6" s="6" t="s">
        <v>112</v>
      </c>
    </row>
    <row r="7" customFormat="false" ht="15" hidden="false" customHeight="false" outlineLevel="0" collapsed="false">
      <c r="A7" s="25" t="s">
        <v>113</v>
      </c>
      <c r="B7" s="22" t="n">
        <f aca="false">SUM(B3:B6)</f>
        <v>44090</v>
      </c>
    </row>
    <row r="9" customFormat="false" ht="15" hidden="false" customHeight="false" outlineLevel="0" collapsed="false">
      <c r="A9" s="23" t="s">
        <v>114</v>
      </c>
      <c r="B9" s="23"/>
      <c r="C9" s="23"/>
    </row>
  </sheetData>
  <mergeCells count="2">
    <mergeCell ref="A1:C1"/>
    <mergeCell ref="A9:C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2026-07-03T21:01:16Z</dcterms:created>
  <dc:creator>openpyxl</dc:creator>
  <dc:description/>
  <dc:language>en-US</dc:language>
  <cp:lastModifiedBy/>
  <dcterms:modified xsi:type="dcterms:W3CDTF">2026-07-03T21:01:16Z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